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28" activeTab="0"/>
  </bookViews>
  <sheets>
    <sheet name="РЕЕСТР" sheetId="1" r:id="rId1"/>
  </sheets>
  <definedNames>
    <definedName name="_xlnm._FilterDatabase" localSheetId="0" hidden="1">'РЕЕСТР'!$A$2:$AI$12</definedName>
    <definedName name="_xlnm.Print_Area" localSheetId="0">'РЕЕСТР'!$A$1:$AE$14</definedName>
  </definedNames>
  <calcPr fullCalcOnLoad="1" refMode="R1C1"/>
</workbook>
</file>

<file path=xl/sharedStrings.xml><?xml version="1.0" encoding="utf-8"?>
<sst xmlns="http://schemas.openxmlformats.org/spreadsheetml/2006/main" count="181" uniqueCount="116">
  <si>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</si>
  <si>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</si>
  <si>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</si>
  <si>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</si>
  <si>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</si>
  <si>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</si>
  <si>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</si>
  <si>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</si>
  <si>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ВСЕГО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</si>
  <si>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</si>
  <si>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</si>
  <si>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</si>
  <si>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</si>
  <si>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</si>
  <si>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</si>
  <si>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</si>
  <si>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</si>
  <si>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</si>
  <si>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</si>
  <si>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</si>
  <si>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P &lt;= 15 кВт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</si>
  <si>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</si>
  <si>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</si>
  <si>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</si>
  <si>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</si>
  <si>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</si>
  <si>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</si>
  <si>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</si>
  <si>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</si>
  <si>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</si>
  <si>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</si>
  <si>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</si>
  <si>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</si>
  <si>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</si>
  <si>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</si>
  <si>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</si>
  <si>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</si>
  <si>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</si>
  <si>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</si>
  <si>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</si>
  <si>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</si>
  <si>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</si>
  <si>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</si>
  <si>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</si>
  <si>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</si>
  <si>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</si>
  <si>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</si>
  <si>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</si>
  <si>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</si>
  <si>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</si>
  <si>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</si>
  <si>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Количество выполненных подключений:</t>
  </si>
  <si>
    <t>Кол-во источников для оплаты</t>
  </si>
  <si>
    <t>Месяц</t>
  </si>
  <si>
    <t>15 &lt; P &lt;= 150 кВт</t>
  </si>
  <si>
    <t>150 &lt; P &lt;= 670 кВт</t>
  </si>
  <si>
    <t>P &gt; 670 кВт</t>
  </si>
  <si>
    <t>Реестр технологических присоединений ООО "Электросети" ЗАТО Северск 2013</t>
  </si>
  <si>
    <t>п. Самусь</t>
  </si>
  <si>
    <t>основное</t>
  </si>
  <si>
    <t>есть</t>
  </si>
  <si>
    <t>Земельный участок</t>
  </si>
  <si>
    <t>п. Иглаково</t>
  </si>
  <si>
    <t>Жилой дом</t>
  </si>
  <si>
    <t>г. Северск</t>
  </si>
  <si>
    <t>Дата поступления заявки</t>
  </si>
  <si>
    <t>ЮЛ</t>
  </si>
  <si>
    <t>Луговая,5</t>
  </si>
  <si>
    <t>ТП-13, ф.2, оп.№7/1б</t>
  </si>
  <si>
    <t>08/12/2013</t>
  </si>
  <si>
    <t>03.04.2013</t>
  </si>
  <si>
    <t>194</t>
  </si>
  <si>
    <t>апрель</t>
  </si>
  <si>
    <t>Первомайская,3а</t>
  </si>
  <si>
    <t>ТП-103, ф.8, 12</t>
  </si>
  <si>
    <t>08/13/2013</t>
  </si>
  <si>
    <t>176</t>
  </si>
  <si>
    <t>04.04.2013</t>
  </si>
  <si>
    <t xml:space="preserve">Кирова,21/2-1 </t>
  </si>
  <si>
    <t>д. Орловка</t>
  </si>
  <si>
    <t>ТП ОР-16-3,ф.2, оп№32/2</t>
  </si>
  <si>
    <t>08/14/2013</t>
  </si>
  <si>
    <t>05.04.2013</t>
  </si>
  <si>
    <t>201</t>
  </si>
  <si>
    <t>Ленина,40</t>
  </si>
  <si>
    <t>ТП ОР-16-3,ф.2, оп№39</t>
  </si>
  <si>
    <t>08/15/2013</t>
  </si>
  <si>
    <t>211</t>
  </si>
  <si>
    <t>пер. Речной, 8</t>
  </si>
  <si>
    <t>ТП У-15-6, ф.2, оп. №3</t>
  </si>
  <si>
    <t>08/16/13</t>
  </si>
  <si>
    <t>12.04.2013</t>
  </si>
  <si>
    <t>227</t>
  </si>
  <si>
    <t>№972 п. Иглаково, СНТ "Мир", квартал №3, улица №9а</t>
  </si>
  <si>
    <t>ТП-6, резервный автомат в металлическом шкафу в РУ-0,4кВ</t>
  </si>
  <si>
    <t>08/17/13</t>
  </si>
  <si>
    <t>16.04.2013</t>
  </si>
  <si>
    <t>235</t>
  </si>
  <si>
    <t>№1086 п. Иглаково, СНТ "Мир", квартал №3, улица №9</t>
  </si>
  <si>
    <t>08/18/13</t>
  </si>
  <si>
    <t>234</t>
  </si>
  <si>
    <t>№2а, пер. 1917 г. п. Самусь</t>
  </si>
  <si>
    <t>ТП У-11-1, ф. №5, оп. №3</t>
  </si>
  <si>
    <t>08/19/13</t>
  </si>
  <si>
    <t>15.04.2013</t>
  </si>
  <si>
    <t>228</t>
  </si>
  <si>
    <t>ТП-1, ф.2, оп. №2</t>
  </si>
  <si>
    <t>п. Иглаково, пер. Западный,18</t>
  </si>
  <si>
    <t>08/20/13</t>
  </si>
  <si>
    <t>236</t>
  </si>
  <si>
    <t>п. Иглаково, ул. Октябрьская,48</t>
  </si>
  <si>
    <t>ТП-10, ф.5, оп.4/7</t>
  </si>
  <si>
    <t>08/21/13</t>
  </si>
  <si>
    <t>24.04.2013</t>
  </si>
  <si>
    <t>262</t>
  </si>
  <si>
    <t>08.04.2013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</si>
</sst>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>
      <alignment horizontal="center" vertical="center"/>
    </xf>
    <xf numFmtId="0" fontId="7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57"/>
  <sheetViews>
    <sheetView tabSelected="1" zoomScale="85" zoomScaleNormal="85" zoomScaleSheetLayoutView="100" workbookViewId="0" topLeftCell="A1">
      <selection activeCell="B3" sqref="B3"/>
    </sheetView>
  </sheetViews>
  <sheetFormatPr defaultColWidth="9.33203125" defaultRowHeight="12.75"/>
  <cols>
    <col min="1" max="1" width="9.33203125" style="7" customWidth="1"/>
    <col min="2" max="2" width="18.33203125" style="7" customWidth="1"/>
    <col min="3" max="3" width="16.5" style="7" customWidth="1"/>
    <col min="4" max="4" width="13.16015625" style="7" customWidth="1"/>
    <col min="5" max="5" width="11.33203125" style="7" customWidth="1"/>
    <col min="6" max="6" width="23.16015625" style="7" customWidth="1"/>
    <col min="7" max="8" width="20.33203125" style="7" customWidth="1"/>
    <col min="9" max="9" width="30.83203125" style="7" customWidth="1"/>
    <col min="10" max="10" width="17.66015625" style="7" customWidth="1"/>
    <col min="11" max="12" width="30.83203125" style="7" customWidth="1"/>
    <col min="13" max="13" width="21.16015625" style="7" customWidth="1"/>
    <col min="14" max="15" width="23" style="7" customWidth="1"/>
    <col min="16" max="16" width="22.5" style="7" customWidth="1"/>
    <col min="17" max="18" width="18.5" style="7" customWidth="1"/>
    <col min="19" max="19" width="13.16015625" style="41" customWidth="1"/>
    <col min="20" max="20" width="18.83203125" style="7" customWidth="1"/>
    <col min="21" max="21" width="20.33203125" style="7" customWidth="1"/>
    <col min="22" max="22" width="13.16015625" style="41" customWidth="1"/>
    <col min="23" max="23" width="14.5" style="7" customWidth="1"/>
    <col min="24" max="25" width="17.5" style="7" customWidth="1"/>
    <col min="26" max="26" width="18.33203125" style="7" customWidth="1"/>
    <col min="27" max="27" width="17" style="7" customWidth="1"/>
    <col min="28" max="28" width="14.66015625" style="41" customWidth="1"/>
    <col min="29" max="29" width="14.83203125" style="41" customWidth="1"/>
    <col min="30" max="30" width="13.16015625" style="41" customWidth="1"/>
    <col min="31" max="33" width="19" style="7" customWidth="1"/>
    <col min="34" max="34" width="18.16015625" style="7" customWidth="1"/>
    <col min="35" max="35" width="16" style="7" customWidth="1"/>
    <col min="36" max="16384" width="9.33203125" style="7" customWidth="1"/>
  </cols>
  <sheetData>
    <row r="1" spans="1:34" ht="18.75">
      <c r="A1" s="75" t="s">
        <v>57</v>
      </c>
      <c r="B1" s="76"/>
      <c r="C1" s="76"/>
      <c r="D1" s="76"/>
      <c r="E1" s="76"/>
      <c r="F1" s="76"/>
      <c r="AE1" s="49" t="s">
        <v>48</v>
      </c>
      <c r="AF1" s="64"/>
      <c r="AG1" s="64"/>
      <c r="AH1" s="50">
        <v>18</v>
      </c>
    </row>
    <row r="2" spans="1:35" ht="38.25">
      <c r="A2" s="9" t="s">
        <v>0</v>
      </c>
      <c r="B2" s="9" t="s">
        <v>3</v>
      </c>
      <c r="C2" s="9" t="s">
        <v>4</v>
      </c>
      <c r="D2" s="9" t="s">
        <v>26</v>
      </c>
      <c r="E2" s="9" t="s">
        <v>23</v>
      </c>
      <c r="F2" s="9" t="s">
        <v>35</v>
      </c>
      <c r="G2" s="9" t="s">
        <v>5</v>
      </c>
      <c r="H2" s="9" t="s">
        <v>47</v>
      </c>
      <c r="I2" s="9" t="s">
        <v>17</v>
      </c>
      <c r="J2" s="9" t="s">
        <v>18</v>
      </c>
      <c r="K2" s="9" t="s">
        <v>11</v>
      </c>
      <c r="L2" s="9" t="s">
        <v>19</v>
      </c>
      <c r="M2" s="9" t="s">
        <v>36</v>
      </c>
      <c r="N2" s="9" t="s">
        <v>44</v>
      </c>
      <c r="O2" s="9" t="s">
        <v>46</v>
      </c>
      <c r="P2" s="9" t="s">
        <v>45</v>
      </c>
      <c r="Q2" s="9" t="s">
        <v>37</v>
      </c>
      <c r="R2" s="9" t="s">
        <v>50</v>
      </c>
      <c r="S2" s="9" t="s">
        <v>30</v>
      </c>
      <c r="T2" s="9" t="s">
        <v>32</v>
      </c>
      <c r="U2" s="9" t="s">
        <v>31</v>
      </c>
      <c r="V2" s="9" t="s">
        <v>38</v>
      </c>
      <c r="W2" s="9" t="s">
        <v>39</v>
      </c>
      <c r="X2" s="9" t="s">
        <v>41</v>
      </c>
      <c r="Y2" s="9" t="s">
        <v>42</v>
      </c>
      <c r="Z2" s="9" t="s">
        <v>40</v>
      </c>
      <c r="AA2" s="9" t="s">
        <v>33</v>
      </c>
      <c r="AB2" s="9" t="s">
        <v>1</v>
      </c>
      <c r="AC2" s="9" t="s">
        <v>10</v>
      </c>
      <c r="AD2" s="9" t="s">
        <v>29</v>
      </c>
      <c r="AE2" s="9" t="s">
        <v>34</v>
      </c>
      <c r="AF2" s="9" t="s">
        <v>52</v>
      </c>
      <c r="AG2" s="9" t="s">
        <v>65</v>
      </c>
      <c r="AH2" s="9" t="s">
        <v>2</v>
      </c>
      <c r="AI2" s="9" t="s">
        <v>53</v>
      </c>
    </row>
    <row r="3" spans="1:35" s="29" customFormat="1" ht="12.75">
      <c r="A3" s="10">
        <v>1</v>
      </c>
      <c r="B3" s="69" t="s">
        <v>63</v>
      </c>
      <c r="C3" s="69" t="s">
        <v>67</v>
      </c>
      <c r="D3" s="69" t="s">
        <v>62</v>
      </c>
      <c r="E3" s="69" t="s">
        <v>59</v>
      </c>
      <c r="F3" s="69" t="s">
        <v>68</v>
      </c>
      <c r="G3" s="69" t="s">
        <v>6</v>
      </c>
      <c r="H3" s="1"/>
      <c r="I3" s="70">
        <v>15</v>
      </c>
      <c r="J3" s="71">
        <v>0.98</v>
      </c>
      <c r="K3" s="35">
        <f aca="true" t="shared" si="0" ref="K3:K12">IF(OR(I3="",J3=""),"-",ROUND(I3/J3,1))</f>
        <v>15.3</v>
      </c>
      <c r="L3" s="33" t="str">
        <f aca="true" t="shared" si="1" ref="L3:L12">IF(OR(I3="",K3=""),"-",IF(I3&gt;670,"P &gt; 670 кВт",IF(I3&gt;150,"150 &lt; P &lt;= 670 кВт",IF(I3&gt;15,"15 &lt; P &lt;= 150 кВт",IF(I3&gt;15,"15 &lt; P &lt;= 150 кВт",IF(I3&lt;=15,"P &lt;= 15 кВт","ошибка"))))))</f>
        <v>P &lt;= 15 кВт</v>
      </c>
      <c r="M3" s="2">
        <v>550</v>
      </c>
      <c r="N3" s="34">
        <f aca="true" t="shared" si="2" ref="N3:N12">IF(OR(L3="",L3="-"),"-",IF(L3=$G$36,M3/1.18,ROUND(I3*M3*AF3,2)))</f>
        <v>466.10169491525426</v>
      </c>
      <c r="O3" s="34">
        <f aca="true" t="shared" si="3" ref="O3:O12">ROUND(N3*(1+$AH$1/100),2)</f>
        <v>550</v>
      </c>
      <c r="P3" s="2">
        <v>550</v>
      </c>
      <c r="Q3" s="30">
        <v>41394</v>
      </c>
      <c r="R3" s="72" t="s">
        <v>49</v>
      </c>
      <c r="S3" s="73" t="s">
        <v>69</v>
      </c>
      <c r="T3" s="73" t="s">
        <v>70</v>
      </c>
      <c r="U3" s="72">
        <v>41368</v>
      </c>
      <c r="V3" s="73" t="s">
        <v>71</v>
      </c>
      <c r="W3" s="72">
        <v>41366</v>
      </c>
      <c r="X3" s="31">
        <v>2</v>
      </c>
      <c r="Y3" s="32" t="str">
        <f aca="true" ca="1" t="shared" si="4" ref="Y3:Y12">IF(OR(W3="",W3="-"),"-",IF(DATE(YEAR(W3)+X3,MONTH(W3)+0,DAY(W3)+0)&gt;=TODAY(),"Действует","Прекращено"))</f>
        <v>Прекращено</v>
      </c>
      <c r="Z3" s="32" t="str">
        <f aca="true" t="shared" si="5" ref="Z3:Z12">IF(OR(AA3="",AA3="-"),"Не выполнено","Выполнено")</f>
        <v>Не выполнено</v>
      </c>
      <c r="AA3" s="30"/>
      <c r="AB3" s="44">
        <v>3</v>
      </c>
      <c r="AC3" s="45">
        <v>0.4</v>
      </c>
      <c r="AD3" s="48">
        <v>220</v>
      </c>
      <c r="AE3" s="32" t="str">
        <f aca="true" t="shared" si="6" ref="AE3:AE12">IF(AND(OR(S3="",S3="-"),OR(T3="",T3="-")),"Не заключен",IF(OR(U3="",U3="-"),"В оформлении","Заключен"))</f>
        <v>Заключен</v>
      </c>
      <c r="AF3" s="65">
        <v>1</v>
      </c>
      <c r="AG3" s="74">
        <v>41361</v>
      </c>
      <c r="AH3" s="69"/>
      <c r="AI3" s="68" t="s">
        <v>72</v>
      </c>
    </row>
    <row r="4" spans="1:35" s="29" customFormat="1" ht="25.5">
      <c r="A4" s="10">
        <v>2</v>
      </c>
      <c r="B4" s="69" t="s">
        <v>63</v>
      </c>
      <c r="C4" s="69" t="s">
        <v>73</v>
      </c>
      <c r="D4" s="69" t="s">
        <v>64</v>
      </c>
      <c r="E4" s="69" t="s">
        <v>59</v>
      </c>
      <c r="F4" s="69" t="s">
        <v>74</v>
      </c>
      <c r="G4" s="69" t="s">
        <v>9</v>
      </c>
      <c r="H4" s="1" t="s">
        <v>66</v>
      </c>
      <c r="I4" s="70">
        <v>255</v>
      </c>
      <c r="J4" s="71">
        <v>0.98</v>
      </c>
      <c r="K4" s="35">
        <f t="shared" si="0"/>
        <v>260.2</v>
      </c>
      <c r="L4" s="33" t="str">
        <f t="shared" si="1"/>
        <v>150 &lt; P &lt;= 670 кВт</v>
      </c>
      <c r="M4" s="2">
        <v>779</v>
      </c>
      <c r="N4" s="34">
        <f t="shared" si="2"/>
        <v>397290</v>
      </c>
      <c r="O4" s="34">
        <f t="shared" si="3"/>
        <v>468802.2</v>
      </c>
      <c r="P4" s="2"/>
      <c r="Q4" s="30"/>
      <c r="R4" s="72" t="s">
        <v>60</v>
      </c>
      <c r="S4" s="73" t="s">
        <v>75</v>
      </c>
      <c r="T4" s="73" t="s">
        <v>77</v>
      </c>
      <c r="U4" s="72">
        <v>41372</v>
      </c>
      <c r="V4" s="73" t="s">
        <v>76</v>
      </c>
      <c r="W4" s="72">
        <v>41361</v>
      </c>
      <c r="X4" s="31">
        <v>2</v>
      </c>
      <c r="Y4" s="32" t="str">
        <f ca="1" t="shared" si="4"/>
        <v>Прекращено</v>
      </c>
      <c r="Z4" s="32" t="str">
        <f t="shared" si="5"/>
        <v>Не выполнено</v>
      </c>
      <c r="AA4" s="30"/>
      <c r="AB4" s="44">
        <v>2</v>
      </c>
      <c r="AC4" s="45">
        <v>0.4</v>
      </c>
      <c r="AD4" s="48">
        <v>380</v>
      </c>
      <c r="AE4" s="32" t="str">
        <f t="shared" si="6"/>
        <v>Заключен</v>
      </c>
      <c r="AF4" s="65">
        <v>2</v>
      </c>
      <c r="AG4" s="74">
        <v>41358</v>
      </c>
      <c r="AH4" s="69"/>
      <c r="AI4" s="68" t="s">
        <v>72</v>
      </c>
    </row>
    <row r="5" spans="1:35" s="29" customFormat="1" ht="87" customHeight="1">
      <c r="A5" s="10">
        <v>3</v>
      </c>
      <c r="B5" s="69" t="s">
        <v>61</v>
      </c>
      <c r="C5" s="69" t="s">
        <v>78</v>
      </c>
      <c r="D5" s="69" t="s">
        <v>79</v>
      </c>
      <c r="E5" s="69" t="s">
        <v>59</v>
      </c>
      <c r="F5" s="69" t="s">
        <v>80</v>
      </c>
      <c r="G5" s="69" t="s">
        <v>6</v>
      </c>
      <c r="H5" s="1"/>
      <c r="I5" s="70">
        <v>10</v>
      </c>
      <c r="J5" s="71">
        <v>0.98</v>
      </c>
      <c r="K5" s="35">
        <f t="shared" si="0"/>
        <v>10.2</v>
      </c>
      <c r="L5" s="33" t="str">
        <f t="shared" si="1"/>
        <v>P &lt;= 15 кВт</v>
      </c>
      <c r="M5" s="2">
        <v>550</v>
      </c>
      <c r="N5" s="34">
        <f t="shared" si="2"/>
        <v>466.10169491525426</v>
      </c>
      <c r="O5" s="34">
        <f t="shared" si="3"/>
        <v>550</v>
      </c>
      <c r="P5" s="2"/>
      <c r="Q5" s="30"/>
      <c r="R5" s="72" t="s">
        <v>49</v>
      </c>
      <c r="S5" s="73" t="s">
        <v>81</v>
      </c>
      <c r="T5" s="73" t="s">
        <v>82</v>
      </c>
      <c r="U5" s="72">
        <v>41394</v>
      </c>
      <c r="V5" s="73" t="s">
        <v>83</v>
      </c>
      <c r="W5" s="72">
        <v>41367</v>
      </c>
      <c r="X5" s="31">
        <v>2</v>
      </c>
      <c r="Y5" s="32" t="str">
        <f ca="1" t="shared" si="4"/>
        <v>Прекращено</v>
      </c>
      <c r="Z5" s="32" t="str">
        <f t="shared" si="5"/>
        <v>Не выполнено</v>
      </c>
      <c r="AA5" s="30"/>
      <c r="AB5" s="44">
        <v>3</v>
      </c>
      <c r="AC5" s="45">
        <v>0.4</v>
      </c>
      <c r="AD5" s="48">
        <v>220</v>
      </c>
      <c r="AE5" s="32" t="str">
        <f t="shared" si="6"/>
        <v>Заключен</v>
      </c>
      <c r="AF5" s="65">
        <v>1</v>
      </c>
      <c r="AG5" s="74">
        <v>41367</v>
      </c>
      <c r="AH5" s="69"/>
      <c r="AI5" s="68" t="s">
        <v>72</v>
      </c>
    </row>
    <row r="6" spans="1:35" s="29" customFormat="1" ht="87" customHeight="1">
      <c r="A6" s="10">
        <v>4</v>
      </c>
      <c r="B6" s="69" t="s">
        <v>61</v>
      </c>
      <c r="C6" s="69" t="s">
        <v>84</v>
      </c>
      <c r="D6" s="69" t="s">
        <v>79</v>
      </c>
      <c r="E6" s="69" t="s">
        <v>59</v>
      </c>
      <c r="F6" s="69" t="s">
        <v>85</v>
      </c>
      <c r="G6" s="69" t="s">
        <v>6</v>
      </c>
      <c r="H6" s="1"/>
      <c r="I6" s="70">
        <v>25</v>
      </c>
      <c r="J6" s="71">
        <v>0.98</v>
      </c>
      <c r="K6" s="35">
        <f t="shared" si="0"/>
        <v>25.5</v>
      </c>
      <c r="L6" s="33" t="str">
        <f t="shared" si="1"/>
        <v>15 &lt; P &lt;= 150 кВт</v>
      </c>
      <c r="M6" s="2">
        <v>779</v>
      </c>
      <c r="N6" s="34">
        <f t="shared" si="2"/>
        <v>19475</v>
      </c>
      <c r="O6" s="34">
        <f t="shared" si="3"/>
        <v>22980.5</v>
      </c>
      <c r="P6" s="2"/>
      <c r="Q6" s="30"/>
      <c r="R6" s="72" t="s">
        <v>49</v>
      </c>
      <c r="S6" s="73" t="s">
        <v>86</v>
      </c>
      <c r="T6" s="73" t="s">
        <v>115</v>
      </c>
      <c r="U6" s="72">
        <v>41373</v>
      </c>
      <c r="V6" s="73" t="s">
        <v>87</v>
      </c>
      <c r="W6" s="72">
        <v>41369</v>
      </c>
      <c r="X6" s="31">
        <v>2</v>
      </c>
      <c r="Y6" s="32" t="str">
        <f ca="1" t="shared" si="4"/>
        <v>Прекращено</v>
      </c>
      <c r="Z6" s="32" t="str">
        <f t="shared" si="5"/>
        <v>Не выполнено</v>
      </c>
      <c r="AA6" s="30"/>
      <c r="AB6" s="44">
        <v>3</v>
      </c>
      <c r="AC6" s="45">
        <v>0.4</v>
      </c>
      <c r="AD6" s="48">
        <v>380</v>
      </c>
      <c r="AE6" s="32" t="str">
        <f t="shared" si="6"/>
        <v>Заключен</v>
      </c>
      <c r="AF6" s="65">
        <v>1</v>
      </c>
      <c r="AG6" s="74">
        <v>41367</v>
      </c>
      <c r="AH6" s="69"/>
      <c r="AI6" s="68" t="s">
        <v>72</v>
      </c>
    </row>
    <row r="7" spans="1:35" s="29" customFormat="1" ht="87" customHeight="1">
      <c r="A7" s="10">
        <v>5</v>
      </c>
      <c r="B7" s="69" t="s">
        <v>61</v>
      </c>
      <c r="C7" s="69" t="s">
        <v>88</v>
      </c>
      <c r="D7" s="69" t="s">
        <v>58</v>
      </c>
      <c r="E7" s="69" t="s">
        <v>59</v>
      </c>
      <c r="F7" s="69" t="s">
        <v>89</v>
      </c>
      <c r="G7" s="69" t="s">
        <v>6</v>
      </c>
      <c r="H7" s="1"/>
      <c r="I7" s="70">
        <v>15</v>
      </c>
      <c r="J7" s="71">
        <v>0.98</v>
      </c>
      <c r="K7" s="35">
        <f t="shared" si="0"/>
        <v>15.3</v>
      </c>
      <c r="L7" s="33" t="str">
        <f t="shared" si="1"/>
        <v>P &lt;= 15 кВт</v>
      </c>
      <c r="M7" s="2">
        <v>550</v>
      </c>
      <c r="N7" s="34">
        <f t="shared" si="2"/>
        <v>466.10169491525426</v>
      </c>
      <c r="O7" s="34">
        <f t="shared" si="3"/>
        <v>550</v>
      </c>
      <c r="P7" s="2"/>
      <c r="Q7" s="30"/>
      <c r="R7" s="72" t="s">
        <v>49</v>
      </c>
      <c r="S7" s="73" t="s">
        <v>90</v>
      </c>
      <c r="T7" s="73" t="s">
        <v>91</v>
      </c>
      <c r="U7" s="72">
        <v>41390</v>
      </c>
      <c r="V7" s="73" t="s">
        <v>92</v>
      </c>
      <c r="W7" s="72">
        <v>41375</v>
      </c>
      <c r="X7" s="31">
        <v>2</v>
      </c>
      <c r="Y7" s="32" t="str">
        <f ca="1" t="shared" si="4"/>
        <v>Прекращено</v>
      </c>
      <c r="Z7" s="32" t="str">
        <f t="shared" si="5"/>
        <v>Не выполнено</v>
      </c>
      <c r="AA7" s="30"/>
      <c r="AB7" s="44">
        <v>3</v>
      </c>
      <c r="AC7" s="45">
        <v>0.4</v>
      </c>
      <c r="AD7" s="48">
        <v>380</v>
      </c>
      <c r="AE7" s="32" t="str">
        <f t="shared" si="6"/>
        <v>Заключен</v>
      </c>
      <c r="AF7" s="65">
        <v>1</v>
      </c>
      <c r="AG7" s="74">
        <v>41372</v>
      </c>
      <c r="AH7" s="69"/>
      <c r="AI7" s="68" t="s">
        <v>72</v>
      </c>
    </row>
    <row r="8" spans="1:35" s="29" customFormat="1" ht="87" customHeight="1">
      <c r="A8" s="10">
        <v>6</v>
      </c>
      <c r="B8" s="69" t="s">
        <v>61</v>
      </c>
      <c r="C8" s="69" t="s">
        <v>93</v>
      </c>
      <c r="D8" s="69" t="s">
        <v>62</v>
      </c>
      <c r="E8" s="69" t="s">
        <v>59</v>
      </c>
      <c r="F8" s="69" t="s">
        <v>94</v>
      </c>
      <c r="G8" s="69" t="s">
        <v>6</v>
      </c>
      <c r="H8" s="1"/>
      <c r="I8" s="70">
        <v>15</v>
      </c>
      <c r="J8" s="71">
        <v>0.98</v>
      </c>
      <c r="K8" s="35">
        <f t="shared" si="0"/>
        <v>15.3</v>
      </c>
      <c r="L8" s="33" t="str">
        <f t="shared" si="1"/>
        <v>P &lt;= 15 кВт</v>
      </c>
      <c r="M8" s="2">
        <v>550</v>
      </c>
      <c r="N8" s="34">
        <f t="shared" si="2"/>
        <v>466.10169491525426</v>
      </c>
      <c r="O8" s="34">
        <f t="shared" si="3"/>
        <v>550</v>
      </c>
      <c r="P8" s="2"/>
      <c r="Q8" s="30"/>
      <c r="R8" s="72" t="s">
        <v>49</v>
      </c>
      <c r="S8" s="73" t="s">
        <v>95</v>
      </c>
      <c r="T8" s="73" t="s">
        <v>96</v>
      </c>
      <c r="U8" s="72">
        <v>41389</v>
      </c>
      <c r="V8" s="73" t="s">
        <v>97</v>
      </c>
      <c r="W8" s="72">
        <v>41380</v>
      </c>
      <c r="X8" s="31">
        <v>2</v>
      </c>
      <c r="Y8" s="32" t="str">
        <f ca="1" t="shared" si="4"/>
        <v>Прекращено</v>
      </c>
      <c r="Z8" s="32" t="str">
        <f t="shared" si="5"/>
        <v>Не выполнено</v>
      </c>
      <c r="AA8" s="30"/>
      <c r="AB8" s="44">
        <v>3</v>
      </c>
      <c r="AC8" s="45">
        <v>0.4</v>
      </c>
      <c r="AD8" s="48">
        <v>380</v>
      </c>
      <c r="AE8" s="32" t="str">
        <f t="shared" si="6"/>
        <v>Заключен</v>
      </c>
      <c r="AF8" s="65">
        <v>1</v>
      </c>
      <c r="AG8" s="74">
        <v>41366</v>
      </c>
      <c r="AH8" s="69"/>
      <c r="AI8" s="68" t="s">
        <v>72</v>
      </c>
    </row>
    <row r="9" spans="1:35" s="29" customFormat="1" ht="87" customHeight="1">
      <c r="A9" s="10">
        <v>7</v>
      </c>
      <c r="B9" s="69" t="s">
        <v>61</v>
      </c>
      <c r="C9" s="69" t="s">
        <v>98</v>
      </c>
      <c r="D9" s="69" t="s">
        <v>62</v>
      </c>
      <c r="E9" s="69" t="s">
        <v>59</v>
      </c>
      <c r="F9" s="69" t="s">
        <v>94</v>
      </c>
      <c r="G9" s="69" t="s">
        <v>6</v>
      </c>
      <c r="H9" s="1"/>
      <c r="I9" s="70">
        <v>15</v>
      </c>
      <c r="J9" s="71">
        <v>0.98</v>
      </c>
      <c r="K9" s="35">
        <f t="shared" si="0"/>
        <v>15.3</v>
      </c>
      <c r="L9" s="33" t="str">
        <f t="shared" si="1"/>
        <v>P &lt;= 15 кВт</v>
      </c>
      <c r="M9" s="2">
        <v>550</v>
      </c>
      <c r="N9" s="34">
        <f t="shared" si="2"/>
        <v>466.10169491525426</v>
      </c>
      <c r="O9" s="34">
        <f t="shared" si="3"/>
        <v>550</v>
      </c>
      <c r="P9" s="2"/>
      <c r="Q9" s="30"/>
      <c r="R9" s="72" t="s">
        <v>49</v>
      </c>
      <c r="S9" s="73" t="s">
        <v>99</v>
      </c>
      <c r="T9" s="73" t="s">
        <v>96</v>
      </c>
      <c r="U9" s="72">
        <v>41387</v>
      </c>
      <c r="V9" s="73" t="s">
        <v>100</v>
      </c>
      <c r="W9" s="72">
        <v>41380</v>
      </c>
      <c r="X9" s="31">
        <v>2</v>
      </c>
      <c r="Y9" s="32" t="str">
        <f ca="1" t="shared" si="4"/>
        <v>Прекращено</v>
      </c>
      <c r="Z9" s="32" t="str">
        <f t="shared" si="5"/>
        <v>Не выполнено</v>
      </c>
      <c r="AA9" s="30"/>
      <c r="AB9" s="44">
        <v>3</v>
      </c>
      <c r="AC9" s="45">
        <v>0.4</v>
      </c>
      <c r="AD9" s="48">
        <v>380</v>
      </c>
      <c r="AE9" s="32" t="str">
        <f t="shared" si="6"/>
        <v>Заключен</v>
      </c>
      <c r="AF9" s="65">
        <v>1</v>
      </c>
      <c r="AG9" s="74">
        <v>41366</v>
      </c>
      <c r="AH9" s="69"/>
      <c r="AI9" s="68" t="s">
        <v>72</v>
      </c>
    </row>
    <row r="10" spans="1:35" s="29" customFormat="1" ht="87" customHeight="1">
      <c r="A10" s="10">
        <v>8</v>
      </c>
      <c r="B10" s="69" t="s">
        <v>61</v>
      </c>
      <c r="C10" s="69" t="s">
        <v>101</v>
      </c>
      <c r="D10" s="69" t="s">
        <v>58</v>
      </c>
      <c r="E10" s="69" t="s">
        <v>59</v>
      </c>
      <c r="F10" s="69" t="s">
        <v>102</v>
      </c>
      <c r="G10" s="69" t="s">
        <v>6</v>
      </c>
      <c r="H10" s="1"/>
      <c r="I10" s="70">
        <v>9</v>
      </c>
      <c r="J10" s="71">
        <v>0.98</v>
      </c>
      <c r="K10" s="35">
        <f t="shared" si="0"/>
        <v>9.2</v>
      </c>
      <c r="L10" s="33" t="str">
        <f t="shared" si="1"/>
        <v>P &lt;= 15 кВт</v>
      </c>
      <c r="M10" s="2">
        <v>550</v>
      </c>
      <c r="N10" s="34">
        <f t="shared" si="2"/>
        <v>466.10169491525426</v>
      </c>
      <c r="O10" s="34">
        <f t="shared" si="3"/>
        <v>550</v>
      </c>
      <c r="P10" s="2"/>
      <c r="Q10" s="30"/>
      <c r="R10" s="72" t="s">
        <v>49</v>
      </c>
      <c r="S10" s="73" t="s">
        <v>103</v>
      </c>
      <c r="T10" s="73" t="s">
        <v>104</v>
      </c>
      <c r="U10" s="72">
        <v>41388</v>
      </c>
      <c r="V10" s="73" t="s">
        <v>105</v>
      </c>
      <c r="W10" s="72">
        <v>41375</v>
      </c>
      <c r="X10" s="31">
        <v>2</v>
      </c>
      <c r="Y10" s="32" t="str">
        <f ca="1" t="shared" si="4"/>
        <v>Прекращено</v>
      </c>
      <c r="Z10" s="32" t="str">
        <f t="shared" si="5"/>
        <v>Не выполнено</v>
      </c>
      <c r="AA10" s="30"/>
      <c r="AB10" s="44">
        <v>3</v>
      </c>
      <c r="AC10" s="45">
        <v>0.4</v>
      </c>
      <c r="AD10" s="48">
        <v>220</v>
      </c>
      <c r="AE10" s="32" t="str">
        <f t="shared" si="6"/>
        <v>Заключен</v>
      </c>
      <c r="AF10" s="65">
        <v>1</v>
      </c>
      <c r="AG10" s="74">
        <v>41375</v>
      </c>
      <c r="AH10" s="69"/>
      <c r="AI10" s="68" t="s">
        <v>72</v>
      </c>
    </row>
    <row r="11" spans="1:35" s="29" customFormat="1" ht="87" customHeight="1">
      <c r="A11" s="10">
        <v>9</v>
      </c>
      <c r="B11" s="69" t="s">
        <v>63</v>
      </c>
      <c r="C11" s="69" t="s">
        <v>107</v>
      </c>
      <c r="D11" s="69" t="s">
        <v>62</v>
      </c>
      <c r="E11" s="69" t="s">
        <v>59</v>
      </c>
      <c r="F11" s="69" t="s">
        <v>106</v>
      </c>
      <c r="G11" s="69" t="s">
        <v>6</v>
      </c>
      <c r="H11" s="1"/>
      <c r="I11" s="70">
        <v>15</v>
      </c>
      <c r="J11" s="71">
        <v>0.98</v>
      </c>
      <c r="K11" s="35">
        <f t="shared" si="0"/>
        <v>15.3</v>
      </c>
      <c r="L11" s="33" t="str">
        <f t="shared" si="1"/>
        <v>P &lt;= 15 кВт</v>
      </c>
      <c r="M11" s="2">
        <v>550</v>
      </c>
      <c r="N11" s="34">
        <f t="shared" si="2"/>
        <v>466.10169491525426</v>
      </c>
      <c r="O11" s="34">
        <f t="shared" si="3"/>
        <v>550</v>
      </c>
      <c r="P11" s="2"/>
      <c r="Q11" s="30"/>
      <c r="R11" s="72" t="s">
        <v>49</v>
      </c>
      <c r="S11" s="73" t="s">
        <v>108</v>
      </c>
      <c r="T11" s="73" t="s">
        <v>96</v>
      </c>
      <c r="U11" s="72">
        <v>41387</v>
      </c>
      <c r="V11" s="73" t="s">
        <v>109</v>
      </c>
      <c r="W11" s="72">
        <v>41380</v>
      </c>
      <c r="X11" s="31">
        <v>2</v>
      </c>
      <c r="Y11" s="32" t="str">
        <f ca="1" t="shared" si="4"/>
        <v>Прекращено</v>
      </c>
      <c r="Z11" s="32" t="str">
        <f t="shared" si="5"/>
        <v>Не выполнено</v>
      </c>
      <c r="AA11" s="30"/>
      <c r="AB11" s="44">
        <v>3</v>
      </c>
      <c r="AC11" s="45">
        <v>0.4</v>
      </c>
      <c r="AD11" s="48">
        <v>380</v>
      </c>
      <c r="AE11" s="32" t="str">
        <f t="shared" si="6"/>
        <v>Заключен</v>
      </c>
      <c r="AF11" s="65">
        <v>1</v>
      </c>
      <c r="AG11" s="74">
        <v>41375</v>
      </c>
      <c r="AH11" s="69"/>
      <c r="AI11" s="68" t="s">
        <v>72</v>
      </c>
    </row>
    <row r="12" spans="1:35" s="29" customFormat="1" ht="87" customHeight="1">
      <c r="A12" s="10">
        <v>10</v>
      </c>
      <c r="B12" s="69" t="s">
        <v>63</v>
      </c>
      <c r="C12" s="69" t="s">
        <v>110</v>
      </c>
      <c r="D12" s="69" t="s">
        <v>62</v>
      </c>
      <c r="E12" s="69" t="s">
        <v>59</v>
      </c>
      <c r="F12" s="69" t="s">
        <v>111</v>
      </c>
      <c r="G12" s="69" t="s">
        <v>6</v>
      </c>
      <c r="H12" s="1"/>
      <c r="I12" s="70">
        <v>15</v>
      </c>
      <c r="J12" s="71">
        <v>0.98</v>
      </c>
      <c r="K12" s="35">
        <f t="shared" si="0"/>
        <v>15.3</v>
      </c>
      <c r="L12" s="33" t="str">
        <f t="shared" si="1"/>
        <v>P &lt;= 15 кВт</v>
      </c>
      <c r="M12" s="2">
        <v>550</v>
      </c>
      <c r="N12" s="34">
        <f t="shared" si="2"/>
        <v>466.10169491525426</v>
      </c>
      <c r="O12" s="34">
        <f t="shared" si="3"/>
        <v>550</v>
      </c>
      <c r="P12" s="2"/>
      <c r="Q12" s="30"/>
      <c r="R12" s="72" t="s">
        <v>49</v>
      </c>
      <c r="S12" s="73" t="s">
        <v>112</v>
      </c>
      <c r="T12" s="73" t="s">
        <v>113</v>
      </c>
      <c r="U12" s="72">
        <v>41388</v>
      </c>
      <c r="V12" s="73" t="s">
        <v>114</v>
      </c>
      <c r="W12" s="72">
        <v>41387</v>
      </c>
      <c r="X12" s="31">
        <v>2</v>
      </c>
      <c r="Y12" s="32" t="str">
        <f ca="1" t="shared" si="4"/>
        <v>Прекращено</v>
      </c>
      <c r="Z12" s="32" t="str">
        <f t="shared" si="5"/>
        <v>Выполнено</v>
      </c>
      <c r="AA12" s="30">
        <v>41402</v>
      </c>
      <c r="AB12" s="44">
        <v>3</v>
      </c>
      <c r="AC12" s="45">
        <v>0.4</v>
      </c>
      <c r="AD12" s="48">
        <v>380</v>
      </c>
      <c r="AE12" s="32" t="str">
        <f t="shared" si="6"/>
        <v>Заключен</v>
      </c>
      <c r="AF12" s="65">
        <v>1</v>
      </c>
      <c r="AG12" s="74">
        <v>41375</v>
      </c>
      <c r="AH12" s="69"/>
      <c r="AI12" s="68" t="s">
        <v>72</v>
      </c>
    </row>
    <row r="13" spans="1:34" ht="12.75">
      <c r="A13" s="3"/>
      <c r="B13" s="46"/>
      <c r="C13" s="4"/>
      <c r="D13" s="4"/>
      <c r="E13" s="4"/>
      <c r="G13" s="4"/>
      <c r="H13" s="4"/>
      <c r="I13" s="5"/>
      <c r="J13" s="5"/>
      <c r="K13" s="5"/>
      <c r="L13" s="4"/>
      <c r="M13" s="3"/>
      <c r="N13" s="3"/>
      <c r="O13" s="3"/>
      <c r="P13" s="3"/>
      <c r="Q13" s="3"/>
      <c r="R13" s="3"/>
      <c r="S13" s="3"/>
      <c r="T13" s="4"/>
      <c r="U13" s="4"/>
      <c r="V13" s="3"/>
      <c r="W13" s="4"/>
      <c r="X13" s="4"/>
      <c r="Y13" s="4"/>
      <c r="Z13" s="4"/>
      <c r="AA13" s="6"/>
      <c r="AB13" s="3"/>
      <c r="AC13" s="3"/>
      <c r="AD13" s="3"/>
      <c r="AE13" s="4"/>
      <c r="AF13" s="4"/>
      <c r="AG13" s="4"/>
      <c r="AH13" s="4"/>
    </row>
    <row r="14" spans="6:30" s="37" customFormat="1" ht="15.75">
      <c r="F14" s="39" t="s">
        <v>8</v>
      </c>
      <c r="G14" s="38" t="str">
        <f>CONCATENATE(SUBTOTAL(3,$G$3:$G$13)," шт.")</f>
        <v>10 шт.</v>
      </c>
      <c r="H14" s="38"/>
      <c r="I14" s="14" t="str">
        <f>CONCATENATE(SUBTOTAL(9,$I$3:$I$13)," кВт")</f>
        <v>389 кВт</v>
      </c>
      <c r="J14" s="14" t="str">
        <f>CONCATENATE(ROUND(SUBTOTAL(1,$J$3:$J$13),2)," сред.зн.")</f>
        <v>0,98 сред.зн.</v>
      </c>
      <c r="K14" s="52" t="str">
        <f>CONCATENATE(SUBTOTAL(9,$K$3:$K$13)," кВА")</f>
        <v>396,9 кВА</v>
      </c>
      <c r="L14" s="38" t="str">
        <f>CONCATENATE(SUBTOTAL(3,$L$3:$L$13)," шт.")</f>
        <v>10 шт.</v>
      </c>
      <c r="M14" s="38" t="str">
        <f>CONCATENATE(ROUND(SUBTOTAL(1,$M$3:$M$13),2)," сред.зн.")</f>
        <v>595,8 сред.зн.</v>
      </c>
      <c r="N14" s="40">
        <f>(ROUND(SUBTOTAL(9,$N$3:$N$13),2))</f>
        <v>420493.81</v>
      </c>
      <c r="O14" s="40">
        <f>(ROUND(SUBTOTAL(9,$O$3:$O$13),2))</f>
        <v>496182.7</v>
      </c>
      <c r="P14" s="40">
        <f>IF(SUM($P$3:$P$13)=0,"-",(ROUND(SUBTOTAL(9,$P$3:$P$13),2)))</f>
        <v>550</v>
      </c>
      <c r="S14" s="42"/>
      <c r="T14" s="51"/>
      <c r="U14" s="51"/>
      <c r="V14" s="51"/>
      <c r="W14" s="51"/>
      <c r="Z14" s="38" t="s">
        <v>51</v>
      </c>
      <c r="AA14" s="39" t="str">
        <f>CONCATENATE(SUBTOTAL(3,$AA$3:$AA$13)," шт.")</f>
        <v>1 шт.</v>
      </c>
      <c r="AB14" s="42"/>
      <c r="AC14" s="42"/>
      <c r="AD14" s="42"/>
    </row>
    <row r="15" ht="12.75"/>
    <row r="16" spans="4:26" ht="15.75">
      <c r="D16" s="16"/>
      <c r="F16" s="13" t="s">
        <v>27</v>
      </c>
      <c r="Y16" s="36"/>
      <c r="Z16" s="36"/>
    </row>
    <row r="17" spans="1:30" s="15" customFormat="1" ht="25.5">
      <c r="A17" s="16"/>
      <c r="B17" s="16"/>
      <c r="C17" s="66"/>
      <c r="E17" s="16"/>
      <c r="F17" s="9" t="s">
        <v>14</v>
      </c>
      <c r="G17" s="9" t="s">
        <v>13</v>
      </c>
      <c r="H17" s="9"/>
      <c r="I17" s="9" t="s">
        <v>17</v>
      </c>
      <c r="J17" s="9"/>
      <c r="K17" s="9" t="s">
        <v>11</v>
      </c>
      <c r="L17" s="9" t="s">
        <v>16</v>
      </c>
      <c r="S17" s="43"/>
      <c r="V17" s="43"/>
      <c r="AB17" s="43"/>
      <c r="AC17" s="43"/>
      <c r="AD17" s="43"/>
    </row>
    <row r="18" spans="1:12" ht="12.75">
      <c r="A18" s="36"/>
      <c r="D18" s="15"/>
      <c r="F18" s="77" t="s">
        <v>21</v>
      </c>
      <c r="G18" s="8" t="s">
        <v>6</v>
      </c>
      <c r="H18" s="8"/>
      <c r="I18" s="12">
        <f>SUMIF($G$3:$G$13,G18,$I$3:$I$13)</f>
        <v>134</v>
      </c>
      <c r="J18" s="12"/>
      <c r="K18" s="12">
        <f>SUMIF($G$3:$G$13,G18,$K$3:$K$13)</f>
        <v>136.7</v>
      </c>
      <c r="L18" s="17">
        <f>COUNTIF($G$3:$G$13,G18)</f>
        <v>9</v>
      </c>
    </row>
    <row r="19" spans="4:12" ht="25.5">
      <c r="D19" s="15"/>
      <c r="E19" s="47"/>
      <c r="F19" s="77"/>
      <c r="G19" s="8" t="s">
        <v>9</v>
      </c>
      <c r="H19" s="8"/>
      <c r="I19" s="12">
        <f>SUMIF($G$3:$G$13,G19,$I$3:$I$13)</f>
        <v>255</v>
      </c>
      <c r="J19" s="12"/>
      <c r="K19" s="12">
        <f>SUMIF($G$3:$G$13,G19,$K$3:$K$13)</f>
        <v>260.2</v>
      </c>
      <c r="L19" s="17">
        <f>COUNTIF($G$3:$G$13,G19)</f>
        <v>1</v>
      </c>
    </row>
    <row r="20" spans="4:12" ht="12.75">
      <c r="D20" s="15"/>
      <c r="F20" s="18" t="s">
        <v>15</v>
      </c>
      <c r="G20" s="18"/>
      <c r="H20" s="18"/>
      <c r="I20" s="19">
        <f>SUM(I18:I19)</f>
        <v>389</v>
      </c>
      <c r="J20" s="20"/>
      <c r="K20" s="21">
        <f>SUM(K18:K19)</f>
        <v>396.9</v>
      </c>
      <c r="L20" s="22">
        <f>SUM(L18:L19)</f>
        <v>10</v>
      </c>
    </row>
    <row r="21" spans="4:12" ht="12.75">
      <c r="D21" s="15"/>
      <c r="F21" s="77" t="s">
        <v>12</v>
      </c>
      <c r="G21" s="11">
        <v>1</v>
      </c>
      <c r="H21" s="11"/>
      <c r="I21" s="12">
        <f>SUMIF($AB$3:$AB$13,G21,$I$3:$I$13)</f>
        <v>0</v>
      </c>
      <c r="J21" s="12"/>
      <c r="K21" s="12">
        <f>SUMIF($AB$3:$AB$13,G21,$K$3:$K$13)</f>
        <v>0</v>
      </c>
      <c r="L21" s="17">
        <f>COUNTIF($AB$3:$AB$13,G21)</f>
        <v>0</v>
      </c>
    </row>
    <row r="22" spans="4:12" ht="12.75">
      <c r="D22" s="15"/>
      <c r="F22" s="77"/>
      <c r="G22" s="11">
        <v>2</v>
      </c>
      <c r="H22" s="11"/>
      <c r="I22" s="12">
        <f>SUMIF($AB$3:$AB$13,G22,$I$3:$I$13)</f>
        <v>255</v>
      </c>
      <c r="J22" s="12"/>
      <c r="K22" s="12">
        <f>SUMIF($AB$3:$AB$13,G22,$K$3:$K$13)</f>
        <v>260.2</v>
      </c>
      <c r="L22" s="17">
        <f>COUNTIF($AB$3:$AB$13,G22)</f>
        <v>1</v>
      </c>
    </row>
    <row r="23" spans="4:12" ht="12.75">
      <c r="D23" s="15"/>
      <c r="F23" s="78"/>
      <c r="G23" s="23">
        <v>3</v>
      </c>
      <c r="H23" s="23"/>
      <c r="I23" s="12">
        <f>SUMIF($AB$3:$AB$13,G23,$I$3:$I$13)</f>
        <v>134</v>
      </c>
      <c r="J23" s="12"/>
      <c r="K23" s="12">
        <f>SUMIF($AB$3:$AB$13,G23,$K$3:$K$13)</f>
        <v>136.7</v>
      </c>
      <c r="L23" s="17">
        <f>COUNTIF($AB$3:$AB$13,G23)</f>
        <v>9</v>
      </c>
    </row>
    <row r="24" spans="4:12" ht="12.75">
      <c r="D24" s="15"/>
      <c r="F24" s="63" t="s">
        <v>15</v>
      </c>
      <c r="G24" s="18"/>
      <c r="H24" s="18"/>
      <c r="I24" s="19">
        <f>SUM(I21:I23)</f>
        <v>389</v>
      </c>
      <c r="J24" s="20"/>
      <c r="K24" s="21">
        <f>SUM(K21:K23)</f>
        <v>396.9</v>
      </c>
      <c r="L24" s="22">
        <f>SUM(L21:L23)</f>
        <v>10</v>
      </c>
    </row>
    <row r="25" spans="4:12" ht="12.75">
      <c r="D25" s="15"/>
      <c r="F25" s="82" t="s">
        <v>7</v>
      </c>
      <c r="G25" s="61">
        <v>779</v>
      </c>
      <c r="H25" s="24"/>
      <c r="I25" s="12">
        <f aca="true" t="shared" si="7" ref="I25:I30">SUMIF($M$3:$M$13,G25,$I$3:$I$13)</f>
        <v>280</v>
      </c>
      <c r="J25" s="12"/>
      <c r="K25" s="12">
        <f aca="true" t="shared" si="8" ref="K25:K30">SUMIF($M$3:$M$13,G25,$K$3:$K$13)</f>
        <v>285.7</v>
      </c>
      <c r="L25" s="17">
        <f aca="true" t="shared" si="9" ref="L25:L30">COUNTIF($M$3:$M$13,G25)</f>
        <v>2</v>
      </c>
    </row>
    <row r="26" spans="4:12" ht="12.75">
      <c r="D26" s="15"/>
      <c r="F26" s="83"/>
      <c r="G26" s="61">
        <v>550</v>
      </c>
      <c r="H26" s="24"/>
      <c r="I26" s="12">
        <f t="shared" si="7"/>
        <v>109</v>
      </c>
      <c r="J26" s="12"/>
      <c r="K26" s="12">
        <f t="shared" si="8"/>
        <v>111.19999999999999</v>
      </c>
      <c r="L26" s="17">
        <f t="shared" si="9"/>
        <v>8</v>
      </c>
    </row>
    <row r="27" spans="4:12" ht="12.75">
      <c r="D27" s="15"/>
      <c r="F27" s="83"/>
      <c r="G27" s="61">
        <v>325.83</v>
      </c>
      <c r="H27" s="24"/>
      <c r="I27" s="12">
        <f t="shared" si="7"/>
        <v>0</v>
      </c>
      <c r="J27" s="12"/>
      <c r="K27" s="12">
        <f t="shared" si="8"/>
        <v>0</v>
      </c>
      <c r="L27" s="17">
        <f t="shared" si="9"/>
        <v>0</v>
      </c>
    </row>
    <row r="28" spans="4:12" ht="12.75">
      <c r="D28" s="15"/>
      <c r="F28" s="83"/>
      <c r="G28" s="62">
        <v>1779</v>
      </c>
      <c r="H28" s="25"/>
      <c r="I28" s="12">
        <f t="shared" si="7"/>
        <v>0</v>
      </c>
      <c r="J28" s="12"/>
      <c r="K28" s="12">
        <f t="shared" si="8"/>
        <v>0</v>
      </c>
      <c r="L28" s="17">
        <f t="shared" si="9"/>
        <v>0</v>
      </c>
    </row>
    <row r="29" spans="4:12" ht="12.75">
      <c r="D29" s="15"/>
      <c r="F29" s="83"/>
      <c r="G29" s="62">
        <v>2175</v>
      </c>
      <c r="H29" s="25"/>
      <c r="I29" s="55">
        <f t="shared" si="7"/>
        <v>0</v>
      </c>
      <c r="J29" s="12"/>
      <c r="K29" s="55">
        <f t="shared" si="8"/>
        <v>0</v>
      </c>
      <c r="L29" s="57">
        <f t="shared" si="9"/>
        <v>0</v>
      </c>
    </row>
    <row r="30" spans="4:12" ht="12.75">
      <c r="D30" s="15"/>
      <c r="F30" s="84"/>
      <c r="G30" s="60">
        <v>2210</v>
      </c>
      <c r="H30" s="54"/>
      <c r="I30" s="56">
        <f t="shared" si="7"/>
        <v>0</v>
      </c>
      <c r="J30" s="53"/>
      <c r="K30" s="56">
        <f t="shared" si="8"/>
        <v>0</v>
      </c>
      <c r="L30" s="58">
        <f t="shared" si="9"/>
        <v>0</v>
      </c>
    </row>
    <row r="31" spans="4:12" ht="12.75">
      <c r="D31" s="15"/>
      <c r="F31" s="59" t="s">
        <v>15</v>
      </c>
      <c r="G31" s="18"/>
      <c r="H31" s="18"/>
      <c r="I31" s="19">
        <f>SUM(I25:I30)</f>
        <v>389</v>
      </c>
      <c r="J31" s="20"/>
      <c r="K31" s="21">
        <f>SUM(K25:K30)</f>
        <v>396.9</v>
      </c>
      <c r="L31" s="22">
        <f>SUM(L25:L30)</f>
        <v>10</v>
      </c>
    </row>
    <row r="32" spans="4:12" ht="12.75">
      <c r="D32" s="15"/>
      <c r="F32" s="77" t="s">
        <v>18</v>
      </c>
      <c r="G32" s="24">
        <v>0.75</v>
      </c>
      <c r="H32" s="24"/>
      <c r="I32" s="12">
        <f>SUMIF($J$3:$J$13,G32,$I$3:$I$13)</f>
        <v>0</v>
      </c>
      <c r="J32" s="12"/>
      <c r="K32" s="12">
        <f>SUMIF($J$3:$J$13,G32,$K$3:$K$13)</f>
        <v>0</v>
      </c>
      <c r="L32" s="17">
        <f>COUNTIF($J$3:$J$13,G32)</f>
        <v>0</v>
      </c>
    </row>
    <row r="33" spans="4:12" ht="12.75">
      <c r="D33" s="15"/>
      <c r="F33" s="77"/>
      <c r="G33" s="24">
        <v>0.85</v>
      </c>
      <c r="H33" s="24"/>
      <c r="I33" s="12">
        <f>SUMIF($J$3:$J$13,G33,$I$3:$I$13)</f>
        <v>0</v>
      </c>
      <c r="J33" s="12"/>
      <c r="K33" s="12">
        <f>SUMIF($J$3:$J$13,G33,$K$3:$K$13)</f>
        <v>0</v>
      </c>
      <c r="L33" s="17">
        <f>COUNTIF($J$3:$J$13,G33)</f>
        <v>0</v>
      </c>
    </row>
    <row r="34" spans="4:12" ht="12.75">
      <c r="D34" s="15"/>
      <c r="F34" s="78"/>
      <c r="G34" s="25">
        <v>0.98</v>
      </c>
      <c r="H34" s="25"/>
      <c r="I34" s="12">
        <f>SUMIF($J$3:$J$13,G34,$I$3:$I$13)</f>
        <v>389</v>
      </c>
      <c r="J34" s="12"/>
      <c r="K34" s="12">
        <f>SUMIF($J$3:$J$13,G34,$K$3:$K$13)</f>
        <v>396.90000000000003</v>
      </c>
      <c r="L34" s="17">
        <f>COUNTIF($J$3:$J$13,G34)</f>
        <v>10</v>
      </c>
    </row>
    <row r="35" spans="4:12" ht="12.75">
      <c r="D35" s="15"/>
      <c r="F35" s="18" t="s">
        <v>15</v>
      </c>
      <c r="G35" s="18"/>
      <c r="H35" s="18"/>
      <c r="I35" s="19">
        <f>SUM(I32:I34)</f>
        <v>389</v>
      </c>
      <c r="J35" s="20"/>
      <c r="K35" s="21">
        <f>SUM(K32:K34)</f>
        <v>396.90000000000003</v>
      </c>
      <c r="L35" s="22">
        <f>SUM(L32:L34)</f>
        <v>10</v>
      </c>
    </row>
    <row r="36" spans="4:12" ht="12.75">
      <c r="D36" s="15"/>
      <c r="F36" s="77" t="s">
        <v>19</v>
      </c>
      <c r="G36" s="24" t="s">
        <v>20</v>
      </c>
      <c r="H36" s="24"/>
      <c r="I36" s="12">
        <f>SUMIF($L$3:$L$13,G36,$I$3:$I$13)</f>
        <v>109</v>
      </c>
      <c r="J36" s="12"/>
      <c r="K36" s="12">
        <f>SUMIF($L$3:$L$13,G36,$K$3:$K$13)</f>
        <v>111.19999999999999</v>
      </c>
      <c r="L36" s="17">
        <f>COUNTIF($L$3:$L$13,G36)</f>
        <v>8</v>
      </c>
    </row>
    <row r="37" spans="4:12" ht="12.75">
      <c r="D37" s="15"/>
      <c r="F37" s="78"/>
      <c r="G37" s="25" t="s">
        <v>54</v>
      </c>
      <c r="H37" s="25"/>
      <c r="I37" s="12">
        <f>SUMIF($L$3:$L$13,G37,$I$3:$I$13)</f>
        <v>25</v>
      </c>
      <c r="J37" s="12"/>
      <c r="K37" s="12">
        <f>SUMIF($L$3:$L$13,G37,$K$3:$K$13)</f>
        <v>25.5</v>
      </c>
      <c r="L37" s="17">
        <f>COUNTIF($L$3:$L$13,G37)</f>
        <v>1</v>
      </c>
    </row>
    <row r="38" spans="4:12" ht="12.75">
      <c r="D38" s="15"/>
      <c r="F38" s="78"/>
      <c r="G38" s="25" t="s">
        <v>55</v>
      </c>
      <c r="H38" s="25"/>
      <c r="I38" s="12">
        <f>SUMIF($L$3:$L$13,G38,$I$3:$I$13)</f>
        <v>255</v>
      </c>
      <c r="J38" s="12"/>
      <c r="K38" s="12">
        <f>SUMIF($L$3:$L$13,G38,$K$3:$K$13)</f>
        <v>260.2</v>
      </c>
      <c r="L38" s="17">
        <f>COUNTIF($L$3:$L$13,G38)</f>
        <v>1</v>
      </c>
    </row>
    <row r="39" spans="4:12" ht="12.75">
      <c r="D39" s="15"/>
      <c r="F39" s="78"/>
      <c r="G39" s="25" t="s">
        <v>56</v>
      </c>
      <c r="H39" s="25"/>
      <c r="I39" s="12">
        <f>SUMIF($L$3:$L$13,G39,$I$3:$I$13)</f>
        <v>0</v>
      </c>
      <c r="J39" s="12"/>
      <c r="K39" s="12">
        <f>SUMIF($L$3:$L$13,G39,$K$3:$K$13)</f>
        <v>0</v>
      </c>
      <c r="L39" s="17">
        <f>COUNTIF($L$3:$L$13,G39)</f>
        <v>0</v>
      </c>
    </row>
    <row r="40" spans="4:12" ht="12.75">
      <c r="D40" s="15"/>
      <c r="F40" s="18" t="s">
        <v>15</v>
      </c>
      <c r="G40" s="18"/>
      <c r="H40" s="18"/>
      <c r="I40" s="19">
        <f>SUM(I36:I39)</f>
        <v>389</v>
      </c>
      <c r="J40" s="20"/>
      <c r="K40" s="21">
        <f>SUM(K36:K39)</f>
        <v>396.9</v>
      </c>
      <c r="L40" s="22">
        <f>SUM(L36:L39)</f>
        <v>10</v>
      </c>
    </row>
    <row r="41" spans="4:12" ht="12.75">
      <c r="D41" s="15"/>
      <c r="F41" s="77" t="s">
        <v>10</v>
      </c>
      <c r="G41" s="26">
        <v>0.4</v>
      </c>
      <c r="H41" s="26"/>
      <c r="I41" s="12">
        <f>SUMIF($AC$3:$AC$13,G41,$I$3:$I$13)</f>
        <v>389</v>
      </c>
      <c r="J41" s="12"/>
      <c r="K41" s="12">
        <f>SUMIF($AC$3:$AC$13,G41,$K$3:$K$13)</f>
        <v>396.90000000000003</v>
      </c>
      <c r="L41" s="17">
        <f>COUNTIF($AC$3:$AC$13,G41)</f>
        <v>10</v>
      </c>
    </row>
    <row r="42" spans="4:12" ht="12.75">
      <c r="D42" s="15"/>
      <c r="F42" s="77"/>
      <c r="G42" s="26">
        <v>1</v>
      </c>
      <c r="H42" s="26"/>
      <c r="I42" s="12">
        <f>SUMIF($AC$3:$AC$13,G42,$I$3:$I$13)</f>
        <v>0</v>
      </c>
      <c r="J42" s="12"/>
      <c r="K42" s="12">
        <f>SUMIF($AC$3:$AC$13,G42,$K$3:$K$13)</f>
        <v>0</v>
      </c>
      <c r="L42" s="17">
        <f>COUNTIF($AC$3:$AC$13,G42)</f>
        <v>0</v>
      </c>
    </row>
    <row r="43" spans="4:12" ht="12.75">
      <c r="D43" s="15"/>
      <c r="F43" s="78"/>
      <c r="G43" s="27">
        <v>3</v>
      </c>
      <c r="H43" s="27"/>
      <c r="I43" s="12">
        <f>SUMIF($AC$3:$AC$13,G43,$I$3:$I$13)</f>
        <v>0</v>
      </c>
      <c r="J43" s="12"/>
      <c r="K43" s="12">
        <f>SUMIF($AC$3:$AC$13,G43,$K$3:$K$13)</f>
        <v>0</v>
      </c>
      <c r="L43" s="17">
        <f>COUNTIF($AC$3:$AC$13,G43)</f>
        <v>0</v>
      </c>
    </row>
    <row r="44" spans="4:12" ht="12.75">
      <c r="D44" s="15"/>
      <c r="F44" s="78"/>
      <c r="G44" s="27">
        <v>6</v>
      </c>
      <c r="H44" s="27"/>
      <c r="I44" s="12">
        <f>SUMIF($AC$3:$AC$13,G44,$I$3:$I$13)</f>
        <v>0</v>
      </c>
      <c r="J44" s="12"/>
      <c r="K44" s="12">
        <f>SUMIF($AC$3:$AC$13,G44,$K$3:$K$13)</f>
        <v>0</v>
      </c>
      <c r="L44" s="17">
        <f>COUNTIF($AC$3:$AC$13,G44)</f>
        <v>0</v>
      </c>
    </row>
    <row r="45" spans="4:12" ht="12.75">
      <c r="D45" s="15"/>
      <c r="F45" s="78"/>
      <c r="G45" s="27">
        <v>10</v>
      </c>
      <c r="H45" s="27"/>
      <c r="I45" s="12">
        <f>SUMIF($AC$3:$AC$13,G45,$I$3:$I$13)</f>
        <v>0</v>
      </c>
      <c r="J45" s="12"/>
      <c r="K45" s="12">
        <f>SUMIF($AC$3:$AC$13,G45,$K$3:$K$13)</f>
        <v>0</v>
      </c>
      <c r="L45" s="17">
        <f>COUNTIF($AC$3:$AC$13,G45)</f>
        <v>0</v>
      </c>
    </row>
    <row r="46" spans="4:12" ht="12.75">
      <c r="D46" s="15"/>
      <c r="F46" s="18" t="s">
        <v>15</v>
      </c>
      <c r="G46" s="18"/>
      <c r="H46" s="18"/>
      <c r="I46" s="19">
        <f>SUM(I41:I45)</f>
        <v>389</v>
      </c>
      <c r="J46" s="20"/>
      <c r="K46" s="21">
        <f>SUM(K41:K45)</f>
        <v>396.90000000000003</v>
      </c>
      <c r="L46" s="22">
        <f>SUM(L41:L45)</f>
        <v>10</v>
      </c>
    </row>
    <row r="47" spans="4:12" ht="12.75">
      <c r="D47" s="15"/>
      <c r="F47" s="79" t="s">
        <v>22</v>
      </c>
      <c r="G47" s="28">
        <v>220</v>
      </c>
      <c r="H47" s="28"/>
      <c r="I47" s="12">
        <f>SUMIF($AD$3:$AD$13,G47,$I$3:$I$13)</f>
        <v>34</v>
      </c>
      <c r="J47" s="12"/>
      <c r="K47" s="12">
        <f>SUMIF($AD$3:$AD$13,G47,$K$3:$K$13)</f>
        <v>34.7</v>
      </c>
      <c r="L47" s="17">
        <f>COUNTIF($AD$3:$AD$13,G47)</f>
        <v>3</v>
      </c>
    </row>
    <row r="48" spans="4:12" ht="12.75">
      <c r="D48" s="15"/>
      <c r="F48" s="80"/>
      <c r="G48" s="28">
        <v>380</v>
      </c>
      <c r="H48" s="28"/>
      <c r="I48" s="12">
        <f>SUMIF($AD$3:$AD$13,G48,$I$3:$I$13)</f>
        <v>355</v>
      </c>
      <c r="J48" s="12"/>
      <c r="K48" s="12">
        <f>SUMIF($AD$3:$AD$13,G48,$K$3:$K$13)</f>
        <v>362.20000000000005</v>
      </c>
      <c r="L48" s="17">
        <f>COUNTIF($AD$3:$AD$13,G48)</f>
        <v>7</v>
      </c>
    </row>
    <row r="49" spans="4:12" ht="12.75">
      <c r="D49" s="15"/>
      <c r="F49" s="81"/>
      <c r="G49" s="28">
        <v>10000</v>
      </c>
      <c r="H49" s="28"/>
      <c r="I49" s="12">
        <f>SUMIF($AD$3:$AD$13,G49,$I$3:$I$13)</f>
        <v>0</v>
      </c>
      <c r="J49" s="12"/>
      <c r="K49" s="12">
        <f>SUMIF($AD$3:$AD$13,G49,$K$3:$K$13)</f>
        <v>0</v>
      </c>
      <c r="L49" s="17">
        <f>COUNTIF($AD$3:$AD$13,G49)</f>
        <v>0</v>
      </c>
    </row>
    <row r="50" spans="4:12" ht="12.75">
      <c r="D50" s="15"/>
      <c r="F50" s="18" t="s">
        <v>15</v>
      </c>
      <c r="G50" s="18"/>
      <c r="H50" s="18"/>
      <c r="I50" s="19">
        <f>SUM(I47:I49)</f>
        <v>389</v>
      </c>
      <c r="J50" s="20"/>
      <c r="K50" s="19">
        <f>SUM(K47:K49)</f>
        <v>396.90000000000003</v>
      </c>
      <c r="L50" s="22">
        <f>SUM(L47:L49)</f>
        <v>10</v>
      </c>
    </row>
    <row r="51" spans="4:12" ht="12.75">
      <c r="D51" s="15"/>
      <c r="F51" s="77" t="s">
        <v>25</v>
      </c>
      <c r="G51" s="28" t="s">
        <v>24</v>
      </c>
      <c r="H51" s="28"/>
      <c r="I51" s="12">
        <f>SUMIF($E$3:$E$13,G51,$I$3:$I$13)</f>
        <v>389</v>
      </c>
      <c r="J51" s="12"/>
      <c r="K51" s="12">
        <f>SUMIF($E$3:$E$13,G51,$K$3:$K$13)</f>
        <v>396.90000000000003</v>
      </c>
      <c r="L51" s="17">
        <f>COUNTIF($E$3:$E$13,G51)</f>
        <v>10</v>
      </c>
    </row>
    <row r="52" spans="4:12" ht="62.25" customHeight="1">
      <c r="D52" s="15"/>
      <c r="F52" s="77"/>
      <c r="G52" s="28" t="s">
        <v>43</v>
      </c>
      <c r="H52" s="28"/>
      <c r="I52" s="12">
        <f>SUMIF($E$3:$E$13,G52,$I$3:$I$13)</f>
        <v>0</v>
      </c>
      <c r="J52" s="12"/>
      <c r="K52" s="12">
        <f>SUMIF($E$3:$E$13,G52,$K$3:$K$13)</f>
        <v>0</v>
      </c>
      <c r="L52" s="17">
        <f>COUNTIF($E$3:$E$13,G52)</f>
        <v>0</v>
      </c>
    </row>
    <row r="53" spans="4:12" ht="12.75">
      <c r="D53" s="15"/>
      <c r="F53" s="18" t="s">
        <v>15</v>
      </c>
      <c r="G53" s="18"/>
      <c r="H53" s="18"/>
      <c r="I53" s="19">
        <f>SUM(I51:I52)</f>
        <v>389</v>
      </c>
      <c r="J53" s="20"/>
      <c r="K53" s="21">
        <f>SUM(K51:K52)</f>
        <v>396.90000000000003</v>
      </c>
      <c r="L53" s="22">
        <f>SUM(L51:L52)</f>
        <v>10</v>
      </c>
    </row>
    <row r="54" spans="4:12" ht="15.75">
      <c r="D54" s="15"/>
      <c r="F54" s="13" t="s">
        <v>28</v>
      </c>
      <c r="I54" s="13" t="str">
        <f>IF(AND(I20=I24,I24=I31,I31=I35,I35=I40,I46=I50,I50=I53),"данные корректны","уточните данные")</f>
        <v>данные корректны</v>
      </c>
      <c r="K54" s="13" t="str">
        <f>IF(AND(K20=K24,K24=K31,K31=K35,K35=K40,K46=K50,K50=K53),"данные корректны","уточните данные")</f>
        <v>данные корректны</v>
      </c>
      <c r="L54" s="13" t="str">
        <f>IF(AND(L20=L24,L24=L31,L31=L35,L35=L40,L46=L50,L50=L53),"данные корректны","уточните данные")</f>
        <v>данные корректны</v>
      </c>
    </row>
    <row r="57" ht="12.75">
      <c r="H57" s="67"/>
    </row>
  </sheetData>
  <sheetProtection formatCells="0" formatColumns="0" formatRows="0" insertColumns="0" insertRows="0" insertHyperlinks="0" deleteColumns="0" deleteRows="0" sort="0" autoFilter="0" pivotTables="0"/>
  <autoFilter ref="A2:AI12"/>
  <mergeCells count="9">
    <mergeCell ref="A1:F1"/>
    <mergeCell ref="F51:F52"/>
    <mergeCell ref="F18:F19"/>
    <mergeCell ref="F21:F23"/>
    <mergeCell ref="F41:F45"/>
    <mergeCell ref="F32:F34"/>
    <mergeCell ref="F36:F39"/>
    <mergeCell ref="F47:F49"/>
    <mergeCell ref="F25:F30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2015-11-27T07:45:02Z</dcterms:modified>
  <cp:category/>
  <cp:version/>
  <cp:contentType/>
  <cp:contentStatus/>
</cp:coreProperties>
</file>